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-2" sheetId="2" r:id="rId2"/>
    <sheet name="січень" sheetId="3" r:id="rId3"/>
  </sheets>
  <definedNames>
    <definedName name="_xlnm.Print_Area" localSheetId="2">'січень'!$A$1:$R$87</definedName>
  </definedNames>
  <calcPr fullCalcOnLoad="1"/>
</workbook>
</file>

<file path=xl/sharedStrings.xml><?xml version="1.0" encoding="utf-8"?>
<sst xmlns="http://schemas.openxmlformats.org/spreadsheetml/2006/main" count="376" uniqueCount="140">
  <si>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</si>
  <si>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</si>
  <si>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</si>
  <si>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</si>
  <si>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</si>
  <si>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</si>
  <si>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</si>
  <si>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</si>
  <si>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</si>
  <si>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</si>
  <si>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</si>
  <si>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</si>
  <si>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</si>
  <si>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</si>
  <si>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</si>
  <si>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</si>
  <si>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</si>
  <si>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</si>
  <si>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</si>
  <si>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</si>
  <si>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</si>
  <si>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</si>
  <si>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</si>
  <si>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</si>
  <si>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</si>
  <si>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</si>
  <si>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</si>
  <si>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</si>
  <si>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</si>
  <si>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</si>
  <si>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</si>
  <si>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</si>
  <si>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</si>
  <si>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</si>
  <si>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</si>
  <si>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</si>
  <si>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</si>
  <si>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</si>
  <si>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</si>
  <si>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</si>
  <si>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</si>
  <si>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</si>
  <si>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</si>
  <si>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</si>
  <si>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</si>
  <si>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</si>
  <si>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</si>
  <si>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</si>
  <si>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</si>
  <si>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</si>
  <si>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</si>
  <si>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</si>
  <si>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</si>
  <si>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</si>
  <si>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</si>
  <si>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</si>
  <si>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</si>
  <si>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</si>
  <si>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</si>
  <si>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</si>
  <si>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</si>
  <si>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</si>
  <si>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</si>
  <si>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</si>
  <si>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</si>
  <si>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</si>
  <si>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</si>
  <si>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</si>
  <si>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</si>
  <si>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</si>
  <si>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</si>
  <si>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</si>
  <si>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</si>
  <si>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</si>
  <si>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</si>
  <si>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</si>
  <si>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</si>
  <si>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</si>
  <si>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</si>
  <si>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</si>
  <si>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</si>
  <si>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</si>
  <si>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</si>
  <si>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</si>
  <si>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</si>
  <si>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</si>
  <si>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</si>
  <si>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</si>
  <si>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</si>
  <si>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</si>
  <si>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</si>
  <si>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</si>
  <si>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</si>
  <si>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</si>
  <si>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</si>
  <si>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</si>
  <si>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</si>
  <si>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</si>
  <si>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</si>
  <si>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</si>
  <si>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</si>
  <si>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</si>
  <si>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</si>
  <si>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</si>
  <si>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</si>
  <si>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</si>
  <si>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</si>
  <si>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</si>
  <si>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</si>
  <si>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</si>
  <si>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</si>
  <si>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</si>
  <si>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</si>
  <si>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</si>
  <si>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</si>
  <si>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</si>
  <si>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</si>
  <si>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</si>
  <si>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</si>
  <si>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</si>
  <si>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</si>
  <si>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</si>
  <si>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</si>
  <si>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</si>
  <si>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</si>
  <si>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</si>
  <si>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</si>
  <si>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</si>
  <si>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</si>
  <si>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</si>
  <si>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</si>
  <si>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</si>
  <si>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</si>
  <si>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</si>
  <si>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</si>
  <si>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</si>
  <si>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</si>
  <si>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</si>
  <si>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18.02.2016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</si>
  <si>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17.02.16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</si>
</sst>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92" sqref="E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4" t="s">
        <v>138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92"/>
      <c r="R1" s="93"/>
    </row>
    <row r="2" spans="2:18" s="1" customFormat="1" ht="15.75" customHeight="1">
      <c r="B2" s="185"/>
      <c r="C2" s="185"/>
      <c r="D2" s="18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6"/>
      <c r="B3" s="188"/>
      <c r="C3" s="189" t="s">
        <v>0</v>
      </c>
      <c r="D3" s="190" t="s">
        <v>121</v>
      </c>
      <c r="E3" s="34"/>
      <c r="F3" s="191" t="s">
        <v>26</v>
      </c>
      <c r="G3" s="192"/>
      <c r="H3" s="192"/>
      <c r="I3" s="192"/>
      <c r="J3" s="193"/>
      <c r="K3" s="89"/>
      <c r="L3" s="89"/>
      <c r="M3" s="194" t="s">
        <v>128</v>
      </c>
      <c r="N3" s="197" t="s">
        <v>119</v>
      </c>
      <c r="O3" s="197"/>
      <c r="P3" s="197"/>
      <c r="Q3" s="197"/>
      <c r="R3" s="197"/>
    </row>
    <row r="4" spans="1:18" ht="22.5" customHeight="1">
      <c r="A4" s="186"/>
      <c r="B4" s="188"/>
      <c r="C4" s="189"/>
      <c r="D4" s="190"/>
      <c r="E4" s="198" t="s">
        <v>127</v>
      </c>
      <c r="F4" s="200" t="s">
        <v>34</v>
      </c>
      <c r="G4" s="202" t="s">
        <v>116</v>
      </c>
      <c r="H4" s="195" t="s">
        <v>117</v>
      </c>
      <c r="I4" s="202" t="s">
        <v>122</v>
      </c>
      <c r="J4" s="195" t="s">
        <v>123</v>
      </c>
      <c r="K4" s="91" t="s">
        <v>65</v>
      </c>
      <c r="L4" s="96" t="s">
        <v>64</v>
      </c>
      <c r="M4" s="195"/>
      <c r="N4" s="204" t="s">
        <v>139</v>
      </c>
      <c r="O4" s="202" t="s">
        <v>50</v>
      </c>
      <c r="P4" s="206" t="s">
        <v>49</v>
      </c>
      <c r="Q4" s="97" t="s">
        <v>65</v>
      </c>
      <c r="R4" s="98" t="s">
        <v>64</v>
      </c>
    </row>
    <row r="5" spans="1:18" ht="92.25" customHeight="1">
      <c r="A5" s="187"/>
      <c r="B5" s="188"/>
      <c r="C5" s="189"/>
      <c r="D5" s="190"/>
      <c r="E5" s="199"/>
      <c r="F5" s="201"/>
      <c r="G5" s="203"/>
      <c r="H5" s="196"/>
      <c r="I5" s="203"/>
      <c r="J5" s="196"/>
      <c r="K5" s="207" t="s">
        <v>118</v>
      </c>
      <c r="L5" s="208"/>
      <c r="M5" s="196"/>
      <c r="N5" s="205"/>
      <c r="O5" s="203"/>
      <c r="P5" s="206"/>
      <c r="Q5" s="207" t="s">
        <v>120</v>
      </c>
      <c r="R5" s="20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</f>
        <v>99921.56</v>
      </c>
      <c r="G8" s="15">
        <f aca="true" t="shared" si="0" ref="G8:G21">F8-E8</f>
        <v>-22791.209999999992</v>
      </c>
      <c r="H8" s="38">
        <f>F8/E8*100</f>
        <v>81.42718968857113</v>
      </c>
      <c r="I8" s="28">
        <f>F8-D8</f>
        <v>-741128.44</v>
      </c>
      <c r="J8" s="28">
        <f>F8/D8*100</f>
        <v>11.880573093157363</v>
      </c>
      <c r="K8" s="15">
        <f>K9+K15+K18+K19+K20+K32</f>
        <v>8567.150000000007</v>
      </c>
      <c r="L8" s="15">
        <f>F8/91354.4*100</f>
        <v>109.37793910309739</v>
      </c>
      <c r="M8" s="15">
        <f>M9+M15+M18+M19+M20+M32+M17</f>
        <v>62152</v>
      </c>
      <c r="N8" s="15">
        <f>N9+N15+N18+N19+N20+N32+N17</f>
        <v>39340.93</v>
      </c>
      <c r="O8" s="15">
        <f>N8-M8</f>
        <v>-22811.07</v>
      </c>
      <c r="P8" s="15">
        <f>N8/M8*100</f>
        <v>63.29793087913502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51190.3</v>
      </c>
      <c r="G9" s="36">
        <f t="shared" si="0"/>
        <v>-9399.964999999997</v>
      </c>
      <c r="H9" s="32">
        <f>F9/E9*100</f>
        <v>84.4860143787125</v>
      </c>
      <c r="I9" s="42">
        <f>F9-D9</f>
        <v>-408509.7</v>
      </c>
      <c r="J9" s="42">
        <f>F9/D9*100</f>
        <v>11.135588427235154</v>
      </c>
      <c r="K9" s="106">
        <f>F9-49687.49</f>
        <v>1502.810000000005</v>
      </c>
      <c r="L9" s="106">
        <f>F9/49687.49*100</f>
        <v>103.02452387914947</v>
      </c>
      <c r="M9" s="32">
        <v>30377</v>
      </c>
      <c r="N9" s="178">
        <f>F9-січень!F9</f>
        <v>20977.030000000002</v>
      </c>
      <c r="O9" s="40">
        <f>N9-M9</f>
        <v>-9399.969999999998</v>
      </c>
      <c r="P9" s="42">
        <f>N9/M9*100</f>
        <v>69.05563419692531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46008.05</v>
      </c>
      <c r="G10" s="109">
        <f t="shared" si="0"/>
        <v>-8365.789999999994</v>
      </c>
      <c r="H10" s="32">
        <f aca="true" t="shared" si="1" ref="H10:H18">F10/E10*100</f>
        <v>84.61431085242464</v>
      </c>
      <c r="I10" s="110">
        <f aca="true" t="shared" si="2" ref="I10:I32">F10-D10</f>
        <v>-365431.95</v>
      </c>
      <c r="J10" s="110">
        <f aca="true" t="shared" si="3" ref="J10:J31">F10/D10*100</f>
        <v>11.182201536068444</v>
      </c>
      <c r="K10" s="112">
        <f>F10-43781.83</f>
        <v>2226.220000000001</v>
      </c>
      <c r="L10" s="112">
        <f>F10/43781.83*100</f>
        <v>105.08480344471668</v>
      </c>
      <c r="M10" s="111">
        <v>27490</v>
      </c>
      <c r="N10" s="179">
        <f>F10-січень!F10</f>
        <v>19124.210000000003</v>
      </c>
      <c r="O10" s="112">
        <f aca="true" t="shared" si="4" ref="O10:O32">N10-M10</f>
        <v>-8365.789999999997</v>
      </c>
      <c r="P10" s="42">
        <f aca="true" t="shared" si="5" ref="P10:P18">N10/M10*100</f>
        <v>69.5678792288105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3186.42</v>
      </c>
      <c r="G11" s="109">
        <f t="shared" si="0"/>
        <v>-748.52</v>
      </c>
      <c r="H11" s="32">
        <f t="shared" si="1"/>
        <v>80.97760067497852</v>
      </c>
      <c r="I11" s="110">
        <f t="shared" si="2"/>
        <v>-19813.58</v>
      </c>
      <c r="J11" s="110">
        <f t="shared" si="3"/>
        <v>13.854</v>
      </c>
      <c r="K11" s="112">
        <f>F11-3453.77</f>
        <v>-267.3499999999999</v>
      </c>
      <c r="L11" s="112">
        <f>F11/3453.77*100</f>
        <v>92.25918344302025</v>
      </c>
      <c r="M11" s="111">
        <v>1250</v>
      </c>
      <c r="N11" s="179">
        <f>F11-січень!F11</f>
        <v>501.48</v>
      </c>
      <c r="O11" s="112">
        <f t="shared" si="4"/>
        <v>-748.52</v>
      </c>
      <c r="P11" s="42">
        <f t="shared" si="5"/>
        <v>40.1184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631.38</v>
      </c>
      <c r="G12" s="109">
        <f t="shared" si="0"/>
        <v>5.769999999999982</v>
      </c>
      <c r="H12" s="32">
        <f t="shared" si="1"/>
        <v>100.92229983536069</v>
      </c>
      <c r="I12" s="110">
        <f t="shared" si="2"/>
        <v>-5868.62</v>
      </c>
      <c r="J12" s="110">
        <f t="shared" si="3"/>
        <v>9.71353846153846</v>
      </c>
      <c r="K12" s="112">
        <f>F12-805.51</f>
        <v>-174.13</v>
      </c>
      <c r="L12" s="112">
        <f>F12/805.51*100</f>
        <v>78.38263956996188</v>
      </c>
      <c r="M12" s="111">
        <v>192</v>
      </c>
      <c r="N12" s="179">
        <f>F12-січень!F12</f>
        <v>197.76999999999998</v>
      </c>
      <c r="O12" s="112">
        <f t="shared" si="4"/>
        <v>5.769999999999982</v>
      </c>
      <c r="P12" s="42">
        <f t="shared" si="5"/>
        <v>103.00520833333333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889.48</v>
      </c>
      <c r="G13" s="109">
        <f t="shared" si="0"/>
        <v>-140.35500000000002</v>
      </c>
      <c r="H13" s="32">
        <f t="shared" si="1"/>
        <v>86.3711177033214</v>
      </c>
      <c r="I13" s="110">
        <f t="shared" si="2"/>
        <v>-11510.52</v>
      </c>
      <c r="J13" s="110">
        <f t="shared" si="3"/>
        <v>7.1732258064516135</v>
      </c>
      <c r="K13" s="112">
        <f>F13-707.92</f>
        <v>181.56000000000006</v>
      </c>
      <c r="L13" s="112">
        <f>F13/707.92*100</f>
        <v>125.64696575884282</v>
      </c>
      <c r="M13" s="111">
        <v>820</v>
      </c>
      <c r="N13" s="179">
        <f>F13-січень!F13</f>
        <v>679.64</v>
      </c>
      <c r="O13" s="112">
        <f t="shared" si="4"/>
        <v>-140.36</v>
      </c>
      <c r="P13" s="42">
        <f t="shared" si="5"/>
        <v>82.88292682926829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83.31</v>
      </c>
      <c r="G15" s="36">
        <f t="shared" si="0"/>
        <v>83.31</v>
      </c>
      <c r="H15" s="32"/>
      <c r="I15" s="42">
        <f t="shared" si="2"/>
        <v>-416.69</v>
      </c>
      <c r="J15" s="42">
        <f t="shared" si="3"/>
        <v>16.662000000000003</v>
      </c>
      <c r="K15" s="43">
        <f>F15-(-976.48)</f>
        <v>1059.79</v>
      </c>
      <c r="L15" s="43">
        <f>F15/(-976.48)*100</f>
        <v>-8.531664755038506</v>
      </c>
      <c r="M15" s="32">
        <v>0</v>
      </c>
      <c r="N15" s="178">
        <f>F15-січень!F15</f>
        <v>83.31</v>
      </c>
      <c r="O15" s="40">
        <f t="shared" si="4"/>
        <v>83.31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</v>
      </c>
      <c r="G17" s="36">
        <f t="shared" si="0"/>
        <v>0</v>
      </c>
      <c r="H17" s="32" t="e">
        <f t="shared" si="1"/>
        <v>#DIV/0!</v>
      </c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2">
        <f>E17-січень!E17</f>
        <v>0</v>
      </c>
      <c r="N17" s="178">
        <f>F17-січень!F17</f>
        <v>0</v>
      </c>
      <c r="O17" s="40">
        <f t="shared" si="4"/>
        <v>0</v>
      </c>
      <c r="P17" s="42" t="e">
        <f t="shared" si="5"/>
        <v>#DIV/0!</v>
      </c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5790.06</v>
      </c>
      <c r="G19" s="36">
        <f t="shared" si="0"/>
        <v>-6270.339999999999</v>
      </c>
      <c r="H19" s="32">
        <f aca="true" t="shared" si="6" ref="H19:H31">F19/E19*100</f>
        <v>48.00885542768068</v>
      </c>
      <c r="I19" s="42">
        <f t="shared" si="2"/>
        <v>-104109.94</v>
      </c>
      <c r="J19" s="42">
        <f t="shared" si="3"/>
        <v>5.268480436760692</v>
      </c>
      <c r="K19" s="133">
        <f>F19-3525.13</f>
        <v>2264.9300000000003</v>
      </c>
      <c r="L19" s="40">
        <f>F19/3525.13*100</f>
        <v>164.25096379424306</v>
      </c>
      <c r="M19" s="32">
        <v>6500</v>
      </c>
      <c r="N19" s="178">
        <f>F19-січень!F19</f>
        <v>229.66000000000076</v>
      </c>
      <c r="O19" s="40">
        <f t="shared" si="4"/>
        <v>-6270.339999999999</v>
      </c>
      <c r="P19" s="42">
        <f aca="true" t="shared" si="7" ref="P19:P25">N19/M19*100</f>
        <v>3.533230769230781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73">
        <f>F21+F25+F27+F26</f>
        <v>42752.090000000004</v>
      </c>
      <c r="G20" s="36">
        <f t="shared" si="0"/>
        <v>-7300.014999999992</v>
      </c>
      <c r="H20" s="32">
        <f t="shared" si="6"/>
        <v>85.41516885253878</v>
      </c>
      <c r="I20" s="42">
        <f t="shared" si="2"/>
        <v>-228187.91</v>
      </c>
      <c r="J20" s="42">
        <f t="shared" si="3"/>
        <v>15.779172510518935</v>
      </c>
      <c r="K20" s="132">
        <f>F20-37103.23</f>
        <v>5648.860000000001</v>
      </c>
      <c r="L20" s="110">
        <f>F20/37103.23*100</f>
        <v>115.22471224203392</v>
      </c>
      <c r="M20" s="32">
        <f>M21+M25+M26+M27</f>
        <v>25265</v>
      </c>
      <c r="N20" s="178">
        <f>F20-січень!F20</f>
        <v>17955.030000000002</v>
      </c>
      <c r="O20" s="40">
        <f t="shared" si="4"/>
        <v>-7309.9699999999975</v>
      </c>
      <c r="P20" s="42">
        <f t="shared" si="7"/>
        <v>71.06681179497329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14182.480000000001</v>
      </c>
      <c r="G21" s="36">
        <f t="shared" si="0"/>
        <v>-9313.779999999997</v>
      </c>
      <c r="H21" s="32">
        <f t="shared" si="6"/>
        <v>60.360585046301</v>
      </c>
      <c r="I21" s="42">
        <f t="shared" si="2"/>
        <v>-147217.52</v>
      </c>
      <c r="J21" s="42">
        <f t="shared" si="3"/>
        <v>8.787162329615862</v>
      </c>
      <c r="K21" s="132">
        <f>F21-15266.79</f>
        <v>-1084.3099999999995</v>
      </c>
      <c r="L21" s="110">
        <f>F21/15266.79*100</f>
        <v>92.89759012863871</v>
      </c>
      <c r="M21" s="32">
        <f>M22+M23+M24</f>
        <v>11597</v>
      </c>
      <c r="N21" s="178">
        <f>F21-січень!F21</f>
        <v>2283.180000000002</v>
      </c>
      <c r="O21" s="40">
        <f t="shared" si="4"/>
        <v>-9313.819999999998</v>
      </c>
      <c r="P21" s="42">
        <f t="shared" si="7"/>
        <v>19.687677847719257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3306.57</v>
      </c>
      <c r="G22" s="109">
        <f>F22-E22</f>
        <v>14.970000000000255</v>
      </c>
      <c r="H22" s="111">
        <f t="shared" si="6"/>
        <v>100.45479402114475</v>
      </c>
      <c r="I22" s="110">
        <f t="shared" si="2"/>
        <v>-15193.43</v>
      </c>
      <c r="J22" s="110">
        <f t="shared" si="3"/>
        <v>17.873351351351353</v>
      </c>
      <c r="K22" s="110">
        <f>F22-306.01</f>
        <v>3000.5600000000004</v>
      </c>
      <c r="L22" s="110">
        <f>F22/306.01*100</f>
        <v>1080.5431195058986</v>
      </c>
      <c r="M22" s="111">
        <v>242</v>
      </c>
      <c r="N22" s="179">
        <f>F22-січень!F22</f>
        <v>256.97000000000025</v>
      </c>
      <c r="O22" s="112">
        <f t="shared" si="4"/>
        <v>14.970000000000255</v>
      </c>
      <c r="P22" s="110">
        <f t="shared" si="7"/>
        <v>106.18595041322325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172.13</v>
      </c>
      <c r="G23" s="109">
        <f>F23-E23</f>
        <v>-29.710000000000008</v>
      </c>
      <c r="H23" s="111">
        <f t="shared" si="6"/>
        <v>85.2804201347602</v>
      </c>
      <c r="I23" s="110">
        <f t="shared" si="2"/>
        <v>-2627.87</v>
      </c>
      <c r="J23" s="110">
        <f t="shared" si="3"/>
        <v>6.147499999999999</v>
      </c>
      <c r="K23" s="110">
        <f>F23-6.25</f>
        <v>165.88</v>
      </c>
      <c r="L23" s="110">
        <f>F23/6.25*100</f>
        <v>2754.08</v>
      </c>
      <c r="M23" s="111">
        <v>45</v>
      </c>
      <c r="N23" s="179">
        <f>F23-січень!F23</f>
        <v>15.259999999999991</v>
      </c>
      <c r="O23" s="112">
        <f t="shared" si="4"/>
        <v>-29.74000000000001</v>
      </c>
      <c r="P23" s="110">
        <f t="shared" si="7"/>
        <v>33.91111111111109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10703.78</v>
      </c>
      <c r="G24" s="109">
        <f>F24-E24</f>
        <v>-9299.039999999999</v>
      </c>
      <c r="H24" s="111">
        <f t="shared" si="6"/>
        <v>53.511354898959254</v>
      </c>
      <c r="I24" s="110">
        <f t="shared" si="2"/>
        <v>-129396.22</v>
      </c>
      <c r="J24" s="110">
        <f t="shared" si="3"/>
        <v>7.640099928622412</v>
      </c>
      <c r="K24" s="174">
        <f>F24-14954.53</f>
        <v>-4250.75</v>
      </c>
      <c r="L24" s="174">
        <f>F24/14954.53*100</f>
        <v>71.57550254003301</v>
      </c>
      <c r="M24" s="111">
        <v>11310</v>
      </c>
      <c r="N24" s="179">
        <f>F24-січень!F24</f>
        <v>2010.9500000000007</v>
      </c>
      <c r="O24" s="112">
        <f t="shared" si="4"/>
        <v>-9299.05</v>
      </c>
      <c r="P24" s="110">
        <f t="shared" si="7"/>
        <v>17.780282935455354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14.32</v>
      </c>
      <c r="G25" s="36">
        <f>F25-E25</f>
        <v>3.715</v>
      </c>
      <c r="H25" s="32">
        <f t="shared" si="6"/>
        <v>135.03064592173504</v>
      </c>
      <c r="I25" s="42">
        <f t="shared" si="2"/>
        <v>-62.68</v>
      </c>
      <c r="J25" s="42">
        <f t="shared" si="3"/>
        <v>18.5974025974026</v>
      </c>
      <c r="K25" s="132">
        <f>F25-14.22</f>
        <v>0.09999999999999964</v>
      </c>
      <c r="L25" s="132">
        <f>F25/14.22*100</f>
        <v>100.70323488045008</v>
      </c>
      <c r="M25" s="32">
        <v>8</v>
      </c>
      <c r="N25" s="178">
        <f>F25-січень!F25</f>
        <v>11.71</v>
      </c>
      <c r="O25" s="40">
        <f t="shared" si="4"/>
        <v>3.710000000000001</v>
      </c>
      <c r="P25" s="42">
        <f t="shared" si="7"/>
        <v>146.375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-49.52</v>
      </c>
      <c r="G26" s="36">
        <f aca="true" t="shared" si="8" ref="G26:G32">F26-E26</f>
        <v>-49.52</v>
      </c>
      <c r="H26" s="32"/>
      <c r="I26" s="42">
        <f t="shared" si="2"/>
        <v>-49.52</v>
      </c>
      <c r="J26" s="42"/>
      <c r="K26" s="132">
        <f>F26-87.67</f>
        <v>-137.19</v>
      </c>
      <c r="L26" s="132">
        <f>F26/87.67*100</f>
        <v>-56.484544313904415</v>
      </c>
      <c r="M26" s="32">
        <f>E26-січень!E26</f>
        <v>0</v>
      </c>
      <c r="N26" s="178">
        <f>F26-січень!F26</f>
        <v>-49.17</v>
      </c>
      <c r="O26" s="40">
        <f t="shared" si="4"/>
        <v>-49.17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28604.81</v>
      </c>
      <c r="G27" s="36">
        <f t="shared" si="8"/>
        <v>2059.5699999999997</v>
      </c>
      <c r="H27" s="32">
        <f t="shared" si="6"/>
        <v>107.75871681702634</v>
      </c>
      <c r="I27" s="42">
        <f t="shared" si="2"/>
        <v>-80858.19</v>
      </c>
      <c r="J27" s="42">
        <f t="shared" si="3"/>
        <v>26.131944127239343</v>
      </c>
      <c r="K27" s="106">
        <f>F27-21734.55</f>
        <v>6870.260000000002</v>
      </c>
      <c r="L27" s="106">
        <f>F27/21734.55*100</f>
        <v>131.60985619670066</v>
      </c>
      <c r="M27" s="32">
        <v>13660</v>
      </c>
      <c r="N27" s="178">
        <f>F27-січень!F27</f>
        <v>15709.310000000001</v>
      </c>
      <c r="O27" s="40">
        <f t="shared" si="4"/>
        <v>2049.3100000000013</v>
      </c>
      <c r="P27" s="42">
        <f>N27/M27*100</f>
        <v>115.00226939970719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7577.39</v>
      </c>
      <c r="G29" s="109">
        <f t="shared" si="8"/>
        <v>1921.42</v>
      </c>
      <c r="H29" s="111">
        <f t="shared" si="6"/>
        <v>133.9715380385681</v>
      </c>
      <c r="I29" s="110">
        <f t="shared" si="2"/>
        <v>-20022.61</v>
      </c>
      <c r="J29" s="110">
        <f t="shared" si="3"/>
        <v>27.454311594202903</v>
      </c>
      <c r="K29" s="142">
        <f>F29-5853.24</f>
        <v>1724.1500000000005</v>
      </c>
      <c r="L29" s="142">
        <f>F29/5853.24*100</f>
        <v>129.45633529464024</v>
      </c>
      <c r="M29" s="111">
        <v>3500</v>
      </c>
      <c r="N29" s="179">
        <f>F29-січень!F29</f>
        <v>5421.42</v>
      </c>
      <c r="O29" s="112">
        <f t="shared" si="4"/>
        <v>1921.42</v>
      </c>
      <c r="P29" s="110">
        <f>N29/M29*100</f>
        <v>154.89771428571427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21019.86</v>
      </c>
      <c r="G30" s="109">
        <f t="shared" si="8"/>
        <v>133.77999999999884</v>
      </c>
      <c r="H30" s="111">
        <f t="shared" si="6"/>
        <v>100.64052230001992</v>
      </c>
      <c r="I30" s="110">
        <f t="shared" si="2"/>
        <v>-60792.14</v>
      </c>
      <c r="J30" s="110">
        <f t="shared" si="3"/>
        <v>25.692881239915906</v>
      </c>
      <c r="K30" s="142">
        <f>F30-15877.68</f>
        <v>5142.18</v>
      </c>
      <c r="L30" s="142">
        <f>F30/15877.68*100</f>
        <v>132.38621763381047</v>
      </c>
      <c r="M30" s="111">
        <v>10160</v>
      </c>
      <c r="N30" s="179">
        <f>F30-січень!F30</f>
        <v>10283.52</v>
      </c>
      <c r="O30" s="112">
        <f t="shared" si="4"/>
        <v>123.52000000000044</v>
      </c>
      <c r="P30" s="110">
        <f>N30/M30*100</f>
        <v>101.21574803149606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</f>
        <v>4184.179999999999</v>
      </c>
      <c r="G33" s="15">
        <f>G34+G35+G36+G37+G38+G39+G41+G42+G43+G44+G45+G50+G51+G55</f>
        <v>-750.8460000000002</v>
      </c>
      <c r="H33" s="38">
        <f>F33/E33*100</f>
        <v>84.78536891193683</v>
      </c>
      <c r="I33" s="28">
        <f>F33-D33</f>
        <v>-38635.82</v>
      </c>
      <c r="J33" s="28">
        <f>F33/D33*100</f>
        <v>9.771555347968237</v>
      </c>
      <c r="K33" s="15">
        <f>F33-4883.7</f>
        <v>-699.5200000000004</v>
      </c>
      <c r="L33" s="15">
        <f>F33/4883.7*100</f>
        <v>85.67643385138317</v>
      </c>
      <c r="M33" s="15">
        <f>M34+M35+M36+M37+M38+M39+M41+M42+M43+M44+M45+M50+M51+M55</f>
        <v>2907.3</v>
      </c>
      <c r="N33" s="15">
        <f>N34+N35+N36+N37+N38+N39+N41+N42+N43+N44+N45+N50+N51+N55</f>
        <v>2153.21</v>
      </c>
      <c r="O33" s="15">
        <f>O34+O35+O36+O37+O38+O39+O41+O42+O43+O44+O45+O50+O51+O55</f>
        <v>-754.0900000000001</v>
      </c>
      <c r="P33" s="15">
        <f>N33/M33*100</f>
        <v>74.06218828466274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5.31</v>
      </c>
      <c r="G34" s="36">
        <f>F34-E34</f>
        <v>-44.69</v>
      </c>
      <c r="H34" s="32">
        <f aca="true" t="shared" si="9" ref="H34:H56">F34/E34*100</f>
        <v>10.62</v>
      </c>
      <c r="I34" s="42">
        <f>F34-D34</f>
        <v>-94.69</v>
      </c>
      <c r="J34" s="42">
        <f>F34/D34*100</f>
        <v>5.31</v>
      </c>
      <c r="K34" s="42">
        <f>F34-(-3.86)</f>
        <v>9.17</v>
      </c>
      <c r="L34" s="42">
        <f>F34/(-3.86)*100</f>
        <v>-137.56476683937825</v>
      </c>
      <c r="M34" s="32">
        <v>45.3</v>
      </c>
      <c r="N34" s="178">
        <f>F34-січень!F34</f>
        <v>0.5999999999999996</v>
      </c>
      <c r="O34" s="40">
        <f>N34-M34</f>
        <v>-44.699999999999996</v>
      </c>
      <c r="P34" s="42">
        <f aca="true" t="shared" si="10" ref="P34:P56">N34/M34*100</f>
        <v>1.3245033112582774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-0.1</v>
      </c>
      <c r="G38" s="36">
        <f t="shared" si="11"/>
        <v>-20.1</v>
      </c>
      <c r="H38" s="32">
        <f t="shared" si="9"/>
        <v>-0.5</v>
      </c>
      <c r="I38" s="42">
        <f t="shared" si="12"/>
        <v>-150.1</v>
      </c>
      <c r="J38" s="42">
        <f t="shared" si="14"/>
        <v>-0.06666666666666668</v>
      </c>
      <c r="K38" s="42">
        <f>F38-16.83</f>
        <v>-16.93</v>
      </c>
      <c r="L38" s="42">
        <f>F38/16.83*100</f>
        <v>-0.5941770647653002</v>
      </c>
      <c r="M38" s="32">
        <v>10</v>
      </c>
      <c r="N38" s="178">
        <f>F38-січень!F38</f>
        <v>6.300000000000001</v>
      </c>
      <c r="O38" s="40">
        <f t="shared" si="13"/>
        <v>-3.6999999999999993</v>
      </c>
      <c r="P38" s="42">
        <f t="shared" si="10"/>
        <v>63.000000000000014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1034.43</v>
      </c>
      <c r="G41" s="36">
        <f t="shared" si="11"/>
        <v>-304.58500000000004</v>
      </c>
      <c r="H41" s="32">
        <f t="shared" si="9"/>
        <v>77.25305541760174</v>
      </c>
      <c r="I41" s="42">
        <f t="shared" si="12"/>
        <v>-8865.57</v>
      </c>
      <c r="J41" s="42">
        <f t="shared" si="14"/>
        <v>10.44878787878788</v>
      </c>
      <c r="K41" s="42">
        <f>F41-1559.47</f>
        <v>-525.04</v>
      </c>
      <c r="L41" s="42">
        <f>F41/1559.47*100</f>
        <v>66.33215130781612</v>
      </c>
      <c r="M41" s="32">
        <v>800</v>
      </c>
      <c r="N41" s="178">
        <f>F41-січень!F41</f>
        <v>495.4100000000001</v>
      </c>
      <c r="O41" s="40">
        <f t="shared" si="13"/>
        <v>-304.5899999999999</v>
      </c>
      <c r="P41" s="42">
        <f t="shared" si="10"/>
        <v>61.92625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1303.31</v>
      </c>
      <c r="G44" s="36">
        <f t="shared" si="11"/>
        <v>-62.92000000000007</v>
      </c>
      <c r="H44" s="32">
        <f t="shared" si="9"/>
        <v>95.39462608784758</v>
      </c>
      <c r="I44" s="42">
        <f t="shared" si="12"/>
        <v>-7196.6900000000005</v>
      </c>
      <c r="J44" s="42">
        <f t="shared" si="14"/>
        <v>15.333058823529411</v>
      </c>
      <c r="K44" s="42">
        <f>F44-1319.2</f>
        <v>-15.8900000000001</v>
      </c>
      <c r="L44" s="42">
        <f>F44/1319.2*100</f>
        <v>98.79548211036992</v>
      </c>
      <c r="M44" s="32">
        <v>650</v>
      </c>
      <c r="N44" s="178">
        <f>F44-січень!F44</f>
        <v>587.0799999999999</v>
      </c>
      <c r="O44" s="40">
        <f t="shared" si="13"/>
        <v>-62.92000000000007</v>
      </c>
      <c r="P44" s="42">
        <f t="shared" si="10"/>
        <v>90.32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764.55</v>
      </c>
      <c r="G45" s="36">
        <f t="shared" si="11"/>
        <v>-131.6400000000001</v>
      </c>
      <c r="H45" s="32">
        <f t="shared" si="9"/>
        <v>85.31115053727444</v>
      </c>
      <c r="I45" s="42">
        <f t="shared" si="12"/>
        <v>-6535.45</v>
      </c>
      <c r="J45" s="42">
        <f t="shared" si="14"/>
        <v>10.473287671232875</v>
      </c>
      <c r="K45" s="132">
        <f>F45-1398.47</f>
        <v>-633.9200000000001</v>
      </c>
      <c r="L45" s="132">
        <f>F45/1398.47*100</f>
        <v>54.67046128983818</v>
      </c>
      <c r="M45" s="152">
        <v>488</v>
      </c>
      <c r="N45" s="180">
        <f>F45-січень!F45</f>
        <v>356.34999999999997</v>
      </c>
      <c r="O45" s="40">
        <f t="shared" si="13"/>
        <v>-131.65000000000003</v>
      </c>
      <c r="P45" s="132">
        <f t="shared" si="10"/>
        <v>73.02254098360656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60.21</v>
      </c>
      <c r="G46" s="36">
        <f t="shared" si="11"/>
        <v>-52.779999999999994</v>
      </c>
      <c r="H46" s="32">
        <f t="shared" si="9"/>
        <v>53.28790158421099</v>
      </c>
      <c r="I46" s="110">
        <f t="shared" si="12"/>
        <v>-1039.79</v>
      </c>
      <c r="J46" s="42">
        <f t="shared" si="14"/>
        <v>5.473636363636364</v>
      </c>
      <c r="K46" s="110">
        <f>F46-139.45</f>
        <v>-79.23999999999998</v>
      </c>
      <c r="L46" s="110">
        <f>F46/139.45*100</f>
        <v>43.176765865901764</v>
      </c>
      <c r="M46" s="111">
        <v>87</v>
      </c>
      <c r="N46" s="179">
        <f>F46-січень!F46</f>
        <v>34.22</v>
      </c>
      <c r="O46" s="112">
        <f t="shared" si="13"/>
        <v>-52.78</v>
      </c>
      <c r="P46" s="132">
        <f t="shared" si="10"/>
        <v>39.33333333333333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0.05</v>
      </c>
      <c r="G47" s="36">
        <f t="shared" si="11"/>
        <v>-0.9849999999999999</v>
      </c>
      <c r="H47" s="32">
        <f t="shared" si="9"/>
        <v>4.830917874396136</v>
      </c>
      <c r="I47" s="110">
        <f t="shared" si="12"/>
        <v>-44.95</v>
      </c>
      <c r="J47" s="42">
        <f t="shared" si="14"/>
        <v>0.1111111111111111</v>
      </c>
      <c r="K47" s="110">
        <f>F47-1.07</f>
        <v>-1.02</v>
      </c>
      <c r="L47" s="110">
        <f>F47/1.27*100</f>
        <v>3.937007874015748</v>
      </c>
      <c r="M47" s="111">
        <v>1</v>
      </c>
      <c r="N47" s="179">
        <f>F47-січень!F47</f>
        <v>0.010000000000000002</v>
      </c>
      <c r="O47" s="112">
        <f t="shared" si="13"/>
        <v>-0.99</v>
      </c>
      <c r="P47" s="132">
        <f t="shared" si="10"/>
        <v>1.0000000000000002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704.29</v>
      </c>
      <c r="G49" s="36">
        <f t="shared" si="11"/>
        <v>-77.88</v>
      </c>
      <c r="H49" s="32">
        <f t="shared" si="9"/>
        <v>90.04308526279453</v>
      </c>
      <c r="I49" s="110">
        <f t="shared" si="12"/>
        <v>-5449.71</v>
      </c>
      <c r="J49" s="42">
        <f t="shared" si="14"/>
        <v>11.444426389340267</v>
      </c>
      <c r="K49" s="110">
        <f>F49-1257.34</f>
        <v>-553.05</v>
      </c>
      <c r="L49" s="110">
        <f>F49/1257.34*100</f>
        <v>56.01428412362607</v>
      </c>
      <c r="M49" s="111">
        <v>400</v>
      </c>
      <c r="N49" s="179">
        <f>F49-січень!F49</f>
        <v>322.11999999999995</v>
      </c>
      <c r="O49" s="112">
        <f t="shared" si="13"/>
        <v>-77.88000000000005</v>
      </c>
      <c r="P49" s="132">
        <f t="shared" si="10"/>
        <v>80.52999999999999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0.17</v>
      </c>
      <c r="G50" s="36">
        <f t="shared" si="11"/>
        <v>-0.0010000000000000009</v>
      </c>
      <c r="H50" s="32">
        <f t="shared" si="9"/>
        <v>99.41520467836257</v>
      </c>
      <c r="I50" s="42">
        <f t="shared" si="12"/>
        <v>-9.83</v>
      </c>
      <c r="J50" s="42">
        <f t="shared" si="14"/>
        <v>1.7000000000000002</v>
      </c>
      <c r="K50" s="42">
        <f>F50-0</f>
        <v>0.17</v>
      </c>
      <c r="L50" s="42"/>
      <c r="M50" s="32">
        <v>0</v>
      </c>
      <c r="N50" s="178">
        <f>F50-січень!F50</f>
        <v>0</v>
      </c>
      <c r="O50" s="40">
        <f t="shared" si="13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586.54</v>
      </c>
      <c r="G51" s="36">
        <f t="shared" si="11"/>
        <v>-51.440000000000055</v>
      </c>
      <c r="H51" s="32">
        <f t="shared" si="9"/>
        <v>91.93705131822313</v>
      </c>
      <c r="I51" s="42">
        <f t="shared" si="12"/>
        <v>-4213.46</v>
      </c>
      <c r="J51" s="42">
        <f t="shared" si="14"/>
        <v>12.219583333333333</v>
      </c>
      <c r="K51" s="42">
        <f>F51-590.24</f>
        <v>-3.7000000000000455</v>
      </c>
      <c r="L51" s="42">
        <f>F51/590.24*100</f>
        <v>99.37313635131471</v>
      </c>
      <c r="M51" s="32">
        <v>320</v>
      </c>
      <c r="N51" s="178">
        <f>F51-січень!F51</f>
        <v>268.55999999999995</v>
      </c>
      <c r="O51" s="40">
        <f t="shared" si="13"/>
        <v>-51.440000000000055</v>
      </c>
      <c r="P51" s="42">
        <f t="shared" si="10"/>
        <v>83.92499999999998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138.2</v>
      </c>
      <c r="G53" s="36"/>
      <c r="H53" s="32"/>
      <c r="I53" s="42"/>
      <c r="J53" s="42"/>
      <c r="K53" s="112">
        <f>F53-142.7</f>
        <v>-4.5</v>
      </c>
      <c r="L53" s="112">
        <f>F53/142.7*100</f>
        <v>96.84653118430273</v>
      </c>
      <c r="M53" s="111"/>
      <c r="N53" s="179">
        <f>F53-січень!F53</f>
        <v>67.99999999999999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1</v>
      </c>
      <c r="G56" s="36">
        <f t="shared" si="11"/>
        <v>-2</v>
      </c>
      <c r="H56" s="32">
        <f t="shared" si="9"/>
        <v>33.33333333333333</v>
      </c>
      <c r="I56" s="42">
        <f t="shared" si="12"/>
        <v>-29</v>
      </c>
      <c r="J56" s="42">
        <f t="shared" si="14"/>
        <v>3.3333333333333335</v>
      </c>
      <c r="K56" s="42">
        <f>F56-3.3</f>
        <v>-2.3</v>
      </c>
      <c r="L56" s="42">
        <f>F56/3.3*100</f>
        <v>30.303030303030305</v>
      </c>
      <c r="M56" s="32">
        <v>2</v>
      </c>
      <c r="N56" s="178">
        <f>F56-січень!F56</f>
        <v>0</v>
      </c>
      <c r="O56" s="40">
        <f t="shared" si="13"/>
        <v>-2</v>
      </c>
      <c r="P56" s="42">
        <f t="shared" si="10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104106.73999999999</v>
      </c>
      <c r="G58" s="37">
        <f>F58-E58</f>
        <v>-23544.055999999997</v>
      </c>
      <c r="H58" s="38">
        <f>F58/E58*100</f>
        <v>81.555887830108</v>
      </c>
      <c r="I58" s="28">
        <f>F58-D58</f>
        <v>-779793.86</v>
      </c>
      <c r="J58" s="28">
        <f>F58/D58*100</f>
        <v>11.7781049136068</v>
      </c>
      <c r="K58" s="28">
        <f>F58-96241.42</f>
        <v>7865.319999999992</v>
      </c>
      <c r="L58" s="28">
        <f>F58/96241.42*100</f>
        <v>108.17248955803021</v>
      </c>
      <c r="M58" s="15">
        <f>M8+M33+M56+M57</f>
        <v>65061.3</v>
      </c>
      <c r="N58" s="15">
        <f>N8+N33+N56+N57</f>
        <v>41494.14</v>
      </c>
      <c r="O58" s="41">
        <f>N58-M58</f>
        <v>-23567.160000000003</v>
      </c>
      <c r="P58" s="28">
        <f>N58/M58*100</f>
        <v>63.77699185229929</v>
      </c>
      <c r="Q58" s="28">
        <f>N58-34768</f>
        <v>6726.139999999999</v>
      </c>
      <c r="R58" s="128">
        <f>N58/34768</f>
        <v>1.1934577772664519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0.07</v>
      </c>
      <c r="G67" s="36">
        <f aca="true" t="shared" si="15" ref="G67:G77">F67-E67</f>
        <v>0.07</v>
      </c>
      <c r="H67" s="32"/>
      <c r="I67" s="43">
        <f aca="true" t="shared" si="16" ref="I67:I77">F67-D67</f>
        <v>-4199.93</v>
      </c>
      <c r="J67" s="43">
        <f>F67/D67*100</f>
        <v>0.0016666666666666668</v>
      </c>
      <c r="K67" s="43">
        <f>F67-0.08</f>
        <v>-0.009999999999999995</v>
      </c>
      <c r="L67" s="43">
        <f>F67/0.08*100</f>
        <v>87.50000000000001</v>
      </c>
      <c r="M67" s="32">
        <v>0</v>
      </c>
      <c r="N67" s="178">
        <f>F67-січень!F67</f>
        <v>0.010000000000000009</v>
      </c>
      <c r="O67" s="40">
        <f aca="true" t="shared" si="17" ref="O67:O80">N67-M67</f>
        <v>0.010000000000000009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173.49</v>
      </c>
      <c r="G68" s="36">
        <f t="shared" si="15"/>
        <v>-958.9100000000001</v>
      </c>
      <c r="H68" s="32">
        <f>F68/E68*100</f>
        <v>15.320558106676085</v>
      </c>
      <c r="I68" s="43">
        <f t="shared" si="16"/>
        <v>-7285.51</v>
      </c>
      <c r="J68" s="43">
        <f>F68/D68*100</f>
        <v>2.3259150020109933</v>
      </c>
      <c r="K68" s="43">
        <f>F68-414.12</f>
        <v>-240.63</v>
      </c>
      <c r="L68" s="43">
        <f>F68/414.12*100</f>
        <v>41.893654013329474</v>
      </c>
      <c r="M68" s="32">
        <v>1109.5</v>
      </c>
      <c r="N68" s="178">
        <f>F68-січень!F68</f>
        <v>150.58</v>
      </c>
      <c r="O68" s="40">
        <f t="shared" si="17"/>
        <v>-958.92</v>
      </c>
      <c r="P68" s="43">
        <f>N68/M68*100</f>
        <v>13.57187922487607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485.71</v>
      </c>
      <c r="G69" s="36">
        <f t="shared" si="15"/>
        <v>-99.14000000000004</v>
      </c>
      <c r="H69" s="32">
        <f>F69/E69*100</f>
        <v>83.04864495169701</v>
      </c>
      <c r="I69" s="43">
        <f t="shared" si="16"/>
        <v>-5514.29</v>
      </c>
      <c r="J69" s="43">
        <f>F69/D69*100</f>
        <v>8.095166666666666</v>
      </c>
      <c r="K69" s="43">
        <f>F69-(-1.6)</f>
        <v>487.31</v>
      </c>
      <c r="L69" s="43">
        <f>F69/(-1.6)*100</f>
        <v>-30356.874999999996</v>
      </c>
      <c r="M69" s="32">
        <v>302</v>
      </c>
      <c r="N69" s="178">
        <f>F69-січень!F69</f>
        <v>202.85999999999996</v>
      </c>
      <c r="O69" s="40">
        <f t="shared" si="17"/>
        <v>-99.14000000000004</v>
      </c>
      <c r="P69" s="43">
        <f>N69/M69*100</f>
        <v>67.17218543046356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661.27</v>
      </c>
      <c r="G71" s="45">
        <f t="shared" si="15"/>
        <v>-1057.98</v>
      </c>
      <c r="H71" s="52">
        <f>F71/E71*100</f>
        <v>38.46270175948815</v>
      </c>
      <c r="I71" s="44">
        <f t="shared" si="16"/>
        <v>-17009.73</v>
      </c>
      <c r="J71" s="44">
        <f>F71/D71*100</f>
        <v>3.7421198573934693</v>
      </c>
      <c r="K71" s="44">
        <f>F71-412.6</f>
        <v>248.66999999999996</v>
      </c>
      <c r="L71" s="44">
        <f>F71/412.6*100</f>
        <v>160.2690256907416</v>
      </c>
      <c r="M71" s="45">
        <f>M67+M68+M69+M70</f>
        <v>1412.5</v>
      </c>
      <c r="N71" s="183">
        <f>N67+N68+N69+N70</f>
        <v>354.44999999999993</v>
      </c>
      <c r="O71" s="44">
        <f t="shared" si="17"/>
        <v>-1058.0500000000002</v>
      </c>
      <c r="P71" s="44">
        <f>N71/M71*100</f>
        <v>25.093805309734506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</v>
      </c>
      <c r="G72" s="36">
        <f t="shared" si="15"/>
        <v>0</v>
      </c>
      <c r="H72" s="32"/>
      <c r="I72" s="43">
        <f t="shared" si="16"/>
        <v>-1</v>
      </c>
      <c r="J72" s="43"/>
      <c r="K72" s="43">
        <f>F72-0</f>
        <v>0</v>
      </c>
      <c r="L72" s="43"/>
      <c r="M72" s="32"/>
      <c r="N72" s="178">
        <f>F72-січень!F72</f>
        <v>0</v>
      </c>
      <c r="O72" s="40">
        <f t="shared" si="17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27.84</v>
      </c>
      <c r="G74" s="36">
        <f t="shared" si="15"/>
        <v>-1977.0600000000002</v>
      </c>
      <c r="H74" s="32">
        <f>F74/E74*100</f>
        <v>1.3885979350591051</v>
      </c>
      <c r="I74" s="43">
        <f t="shared" si="16"/>
        <v>-9472.16</v>
      </c>
      <c r="J74" s="40">
        <f>F74/D74*100</f>
        <v>0.29305263157894734</v>
      </c>
      <c r="K74" s="40">
        <f>F74-0</f>
        <v>27.84</v>
      </c>
      <c r="L74" s="43"/>
      <c r="M74" s="32">
        <v>2004.9</v>
      </c>
      <c r="N74" s="178">
        <v>0</v>
      </c>
      <c r="O74" s="40">
        <f>N74-M74</f>
        <v>-2004.9</v>
      </c>
      <c r="P74" s="46">
        <f>N74/M74*100</f>
        <v>0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0.12</v>
      </c>
      <c r="G75" s="36">
        <f t="shared" si="15"/>
        <v>0.12</v>
      </c>
      <c r="H75" s="32"/>
      <c r="I75" s="43">
        <f t="shared" si="16"/>
        <v>0.12</v>
      </c>
      <c r="J75" s="43"/>
      <c r="K75" s="43">
        <f>F75-0.49</f>
        <v>-0.37</v>
      </c>
      <c r="L75" s="43">
        <f>F75/0.49*100</f>
        <v>24.489795918367346</v>
      </c>
      <c r="M75" s="32"/>
      <c r="N75" s="178">
        <f>F75-січень!F74</f>
        <v>0</v>
      </c>
      <c r="O75" s="40">
        <f t="shared" si="17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27.96</v>
      </c>
      <c r="G76" s="30">
        <f>G72+G75+G73+G74</f>
        <v>-1976.9400000000003</v>
      </c>
      <c r="H76" s="52">
        <f>F76/E76*100</f>
        <v>1.394583270986084</v>
      </c>
      <c r="I76" s="44">
        <f t="shared" si="16"/>
        <v>-9473.04</v>
      </c>
      <c r="J76" s="44">
        <f>F76/D76*100</f>
        <v>0.2942848121250395</v>
      </c>
      <c r="K76" s="44">
        <f>F76-0.49</f>
        <v>27.470000000000002</v>
      </c>
      <c r="L76" s="44">
        <f>F76/0.49*100</f>
        <v>5706.122448979592</v>
      </c>
      <c r="M76" s="45">
        <f>M72+M75+M73+M74</f>
        <v>2004.9</v>
      </c>
      <c r="N76" s="183">
        <f>N72+N75+N73+N74</f>
        <v>0</v>
      </c>
      <c r="O76" s="45">
        <f>O72+O75+O73+O74</f>
        <v>-2004.9</v>
      </c>
      <c r="P76" s="44">
        <f>N76/M76*100</f>
        <v>0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0.35</v>
      </c>
      <c r="G77" s="36">
        <f t="shared" si="15"/>
        <v>-0.37</v>
      </c>
      <c r="H77" s="32">
        <f>F77/E77*100</f>
        <v>48.61111111111111</v>
      </c>
      <c r="I77" s="43">
        <f t="shared" si="16"/>
        <v>-42.65</v>
      </c>
      <c r="J77" s="43">
        <f>F77/D77*100</f>
        <v>0.813953488372093</v>
      </c>
      <c r="K77" s="43">
        <f>F77-0.96</f>
        <v>-0.61</v>
      </c>
      <c r="L77" s="43">
        <f>F77/0.96*100</f>
        <v>36.45833333333333</v>
      </c>
      <c r="M77" s="32">
        <v>0.375</v>
      </c>
      <c r="N77" s="178">
        <f>F77-січень!F76</f>
        <v>0</v>
      </c>
      <c r="O77" s="40">
        <f t="shared" si="17"/>
        <v>-0.375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689.3100000000001</v>
      </c>
      <c r="G79" s="37">
        <f>F79-E79</f>
        <v>-3035.56</v>
      </c>
      <c r="H79" s="38">
        <f>F79/E79*100</f>
        <v>18.505612276401596</v>
      </c>
      <c r="I79" s="28">
        <f>F79-D79</f>
        <v>-26525.69</v>
      </c>
      <c r="J79" s="28">
        <f>F79/D79*100</f>
        <v>2.532831159287158</v>
      </c>
      <c r="K79" s="28">
        <f>K65+K71+K76+K77</f>
        <v>289.90999999999997</v>
      </c>
      <c r="L79" s="28">
        <f>F79/399.4*100</f>
        <v>172.58637956935405</v>
      </c>
      <c r="M79" s="24">
        <f>M65+M77+M71+M76</f>
        <v>3417.775</v>
      </c>
      <c r="N79" s="24">
        <f>N65+N77+N71+N76+N78</f>
        <v>345.69999999999993</v>
      </c>
      <c r="O79" s="28">
        <f t="shared" si="17"/>
        <v>-3072.0750000000003</v>
      </c>
      <c r="P79" s="28">
        <f>N79/M79*100</f>
        <v>10.114767648543275</v>
      </c>
      <c r="Q79" s="28">
        <f>N79-8104.96</f>
        <v>-7759.26</v>
      </c>
      <c r="R79" s="101">
        <f>N79/8104.96</f>
        <v>0.042652894030322165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104796.04999999999</v>
      </c>
      <c r="G80" s="37">
        <f>F80-E80</f>
        <v>-26579.61600000001</v>
      </c>
      <c r="H80" s="38">
        <f>F80/E80*100</f>
        <v>79.76823500936618</v>
      </c>
      <c r="I80" s="28">
        <f>F80-D80</f>
        <v>-806319.55</v>
      </c>
      <c r="J80" s="28">
        <f>F80/D80*100</f>
        <v>11.50194881966679</v>
      </c>
      <c r="K80" s="28">
        <f>K58+K79</f>
        <v>8155.229999999992</v>
      </c>
      <c r="L80" s="28">
        <f>F80/96640.82*100</f>
        <v>108.438701161683</v>
      </c>
      <c r="M80" s="15">
        <f>M58+M79</f>
        <v>68479.075</v>
      </c>
      <c r="N80" s="15">
        <f>N58+N79</f>
        <v>41839.84</v>
      </c>
      <c r="O80" s="28">
        <f t="shared" si="17"/>
        <v>-26639.235</v>
      </c>
      <c r="P80" s="28">
        <f>N80/M80*100</f>
        <v>61.09872249296592</v>
      </c>
      <c r="Q80" s="28">
        <f>N80-42872.96</f>
        <v>-1033.1200000000026</v>
      </c>
      <c r="R80" s="101">
        <f>N80/42872.96</f>
        <v>0.9759027601546522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8</v>
      </c>
      <c r="D82" s="4" t="s">
        <v>36</v>
      </c>
    </row>
    <row r="83" spans="2:17" ht="30.75">
      <c r="B83" s="57" t="s">
        <v>54</v>
      </c>
      <c r="C83" s="31">
        <f>IF(O58&lt;0,ABS(O58/C82),0)</f>
        <v>2945.8950000000004</v>
      </c>
      <c r="D83" s="4" t="s">
        <v>24</v>
      </c>
      <c r="G83" s="209"/>
      <c r="H83" s="209"/>
      <c r="I83" s="209"/>
      <c r="J83" s="209"/>
      <c r="K83" s="90"/>
      <c r="L83" s="90"/>
      <c r="P83" s="26"/>
      <c r="Q83" s="26"/>
    </row>
    <row r="84" spans="2:15" ht="34.5" customHeight="1">
      <c r="B84" s="58" t="s">
        <v>56</v>
      </c>
      <c r="C84" s="87">
        <v>42417</v>
      </c>
      <c r="D84" s="31">
        <v>4391.9</v>
      </c>
      <c r="G84" s="4" t="s">
        <v>59</v>
      </c>
      <c r="N84" s="210"/>
      <c r="O84" s="210"/>
    </row>
    <row r="85" spans="3:15" ht="15">
      <c r="C85" s="87">
        <v>42416</v>
      </c>
      <c r="D85" s="31">
        <v>3118.5</v>
      </c>
      <c r="F85" s="124" t="s">
        <v>59</v>
      </c>
      <c r="G85" s="211"/>
      <c r="H85" s="211"/>
      <c r="I85" s="131"/>
      <c r="J85" s="212"/>
      <c r="K85" s="212"/>
      <c r="L85" s="212"/>
      <c r="M85" s="212"/>
      <c r="N85" s="210"/>
      <c r="O85" s="210"/>
    </row>
    <row r="86" spans="3:15" ht="15.75" customHeight="1">
      <c r="C86" s="87">
        <v>42415</v>
      </c>
      <c r="D86" s="31">
        <v>4763.4</v>
      </c>
      <c r="F86" s="73"/>
      <c r="G86" s="211"/>
      <c r="H86" s="211"/>
      <c r="I86" s="131"/>
      <c r="J86" s="213"/>
      <c r="K86" s="213"/>
      <c r="L86" s="213"/>
      <c r="M86" s="213"/>
      <c r="N86" s="210"/>
      <c r="O86" s="210"/>
    </row>
    <row r="87" spans="3:13" ht="15.75" customHeight="1">
      <c r="C87" s="87"/>
      <c r="F87" s="73"/>
      <c r="G87" s="217"/>
      <c r="H87" s="217"/>
      <c r="I87" s="139"/>
      <c r="J87" s="212"/>
      <c r="K87" s="212"/>
      <c r="L87" s="212"/>
      <c r="M87" s="212"/>
    </row>
    <row r="88" spans="2:13" ht="18.75" customHeight="1">
      <c r="B88" s="218" t="s">
        <v>57</v>
      </c>
      <c r="C88" s="219"/>
      <c r="D88" s="148">
        <v>60173.93681</v>
      </c>
      <c r="E88" s="74"/>
      <c r="F88" s="140" t="s">
        <v>137</v>
      </c>
      <c r="G88" s="211"/>
      <c r="H88" s="211"/>
      <c r="I88" s="141"/>
      <c r="J88" s="212"/>
      <c r="K88" s="212"/>
      <c r="L88" s="212"/>
      <c r="M88" s="212"/>
    </row>
    <row r="89" spans="6:12" ht="9.75" customHeight="1">
      <c r="F89" s="73"/>
      <c r="G89" s="211"/>
      <c r="H89" s="211"/>
      <c r="I89" s="73"/>
      <c r="J89" s="74"/>
      <c r="K89" s="74"/>
      <c r="L89" s="74"/>
    </row>
    <row r="90" spans="2:12" ht="22.5" customHeight="1" hidden="1">
      <c r="B90" s="214" t="s">
        <v>60</v>
      </c>
      <c r="C90" s="215"/>
      <c r="D90" s="86">
        <v>0</v>
      </c>
      <c r="E90" s="56" t="s">
        <v>24</v>
      </c>
      <c r="F90" s="73"/>
      <c r="G90" s="211"/>
      <c r="H90" s="21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1"/>
      <c r="O91" s="211"/>
    </row>
    <row r="92" spans="4:15" ht="15">
      <c r="D92" s="83"/>
      <c r="I92" s="31"/>
      <c r="N92" s="216"/>
      <c r="O92" s="216"/>
    </row>
    <row r="93" spans="14:15" ht="15">
      <c r="N93" s="211"/>
      <c r="O93" s="211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1">
      <selection activeCell="U63" sqref="U6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4" t="s">
        <v>114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92"/>
      <c r="R1" s="93"/>
    </row>
    <row r="2" spans="2:18" s="1" customFormat="1" ht="15.75" customHeight="1">
      <c r="B2" s="185"/>
      <c r="C2" s="185"/>
      <c r="D2" s="18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6"/>
      <c r="B3" s="188" t="s">
        <v>135</v>
      </c>
      <c r="C3" s="189" t="s">
        <v>0</v>
      </c>
      <c r="D3" s="190" t="s">
        <v>121</v>
      </c>
      <c r="E3" s="34"/>
      <c r="F3" s="191" t="s">
        <v>26</v>
      </c>
      <c r="G3" s="192"/>
      <c r="H3" s="192"/>
      <c r="I3" s="192"/>
      <c r="J3" s="193"/>
      <c r="K3" s="89"/>
      <c r="L3" s="89"/>
      <c r="M3" s="194" t="s">
        <v>132</v>
      </c>
      <c r="N3" s="197" t="s">
        <v>66</v>
      </c>
      <c r="O3" s="197"/>
      <c r="P3" s="197"/>
      <c r="Q3" s="197"/>
      <c r="R3" s="197"/>
    </row>
    <row r="4" spans="1:18" ht="22.5" customHeight="1">
      <c r="A4" s="186"/>
      <c r="B4" s="188"/>
      <c r="C4" s="189"/>
      <c r="D4" s="190"/>
      <c r="E4" s="198" t="s">
        <v>129</v>
      </c>
      <c r="F4" s="220" t="s">
        <v>34</v>
      </c>
      <c r="G4" s="202" t="s">
        <v>130</v>
      </c>
      <c r="H4" s="195" t="s">
        <v>131</v>
      </c>
      <c r="I4" s="202" t="s">
        <v>122</v>
      </c>
      <c r="J4" s="195" t="s">
        <v>123</v>
      </c>
      <c r="K4" s="91" t="s">
        <v>65</v>
      </c>
      <c r="L4" s="96" t="s">
        <v>64</v>
      </c>
      <c r="M4" s="195"/>
      <c r="N4" s="222" t="s">
        <v>133</v>
      </c>
      <c r="O4" s="202" t="s">
        <v>50</v>
      </c>
      <c r="P4" s="206" t="s">
        <v>49</v>
      </c>
      <c r="Q4" s="97" t="s">
        <v>65</v>
      </c>
      <c r="R4" s="98" t="s">
        <v>64</v>
      </c>
    </row>
    <row r="5" spans="1:18" ht="92.25" customHeight="1">
      <c r="A5" s="187"/>
      <c r="B5" s="188"/>
      <c r="C5" s="189"/>
      <c r="D5" s="190"/>
      <c r="E5" s="199"/>
      <c r="F5" s="221"/>
      <c r="G5" s="203"/>
      <c r="H5" s="196"/>
      <c r="I5" s="203"/>
      <c r="J5" s="196"/>
      <c r="K5" s="207" t="s">
        <v>134</v>
      </c>
      <c r="L5" s="208"/>
      <c r="M5" s="196"/>
      <c r="N5" s="223"/>
      <c r="O5" s="203"/>
      <c r="P5" s="206"/>
      <c r="Q5" s="207" t="s">
        <v>120</v>
      </c>
      <c r="R5" s="20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9"/>
      <c r="H83" s="209"/>
      <c r="I83" s="209"/>
      <c r="J83" s="20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0"/>
      <c r="O84" s="210"/>
    </row>
    <row r="85" spans="3:15" ht="15">
      <c r="C85" s="87">
        <v>42397</v>
      </c>
      <c r="D85" s="31">
        <v>8685</v>
      </c>
      <c r="F85" s="124" t="s">
        <v>59</v>
      </c>
      <c r="G85" s="211"/>
      <c r="H85" s="211"/>
      <c r="I85" s="131"/>
      <c r="J85" s="212"/>
      <c r="K85" s="212"/>
      <c r="L85" s="212"/>
      <c r="M85" s="212"/>
      <c r="N85" s="210"/>
      <c r="O85" s="210"/>
    </row>
    <row r="86" spans="3:15" ht="15.75" customHeight="1">
      <c r="C86" s="87">
        <v>42396</v>
      </c>
      <c r="D86" s="31">
        <v>4820.3</v>
      </c>
      <c r="F86" s="73"/>
      <c r="G86" s="211"/>
      <c r="H86" s="211"/>
      <c r="I86" s="131"/>
      <c r="J86" s="213"/>
      <c r="K86" s="213"/>
      <c r="L86" s="213"/>
      <c r="M86" s="213"/>
      <c r="N86" s="210"/>
      <c r="O86" s="210"/>
    </row>
    <row r="87" spans="3:13" ht="15.75" customHeight="1">
      <c r="C87" s="87"/>
      <c r="F87" s="73"/>
      <c r="G87" s="217"/>
      <c r="H87" s="217"/>
      <c r="I87" s="139"/>
      <c r="J87" s="212"/>
      <c r="K87" s="212"/>
      <c r="L87" s="212"/>
      <c r="M87" s="212"/>
    </row>
    <row r="88" spans="2:13" ht="18.75" customHeight="1">
      <c r="B88" s="218" t="s">
        <v>57</v>
      </c>
      <c r="C88" s="219"/>
      <c r="D88" s="148">
        <v>300.92</v>
      </c>
      <c r="E88" s="74"/>
      <c r="F88" s="140"/>
      <c r="G88" s="211"/>
      <c r="H88" s="211"/>
      <c r="I88" s="141"/>
      <c r="J88" s="212"/>
      <c r="K88" s="212"/>
      <c r="L88" s="212"/>
      <c r="M88" s="212"/>
    </row>
    <row r="89" spans="6:12" ht="9.75" customHeight="1">
      <c r="F89" s="73"/>
      <c r="G89" s="211"/>
      <c r="H89" s="211"/>
      <c r="I89" s="73"/>
      <c r="J89" s="74"/>
      <c r="K89" s="74"/>
      <c r="L89" s="74"/>
    </row>
    <row r="90" spans="2:12" ht="22.5" customHeight="1" hidden="1">
      <c r="B90" s="214" t="s">
        <v>60</v>
      </c>
      <c r="C90" s="215"/>
      <c r="D90" s="86">
        <v>0</v>
      </c>
      <c r="E90" s="56" t="s">
        <v>24</v>
      </c>
      <c r="F90" s="73"/>
      <c r="G90" s="211"/>
      <c r="H90" s="21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1"/>
      <c r="O91" s="211"/>
    </row>
    <row r="92" spans="4:15" ht="15">
      <c r="D92" s="83"/>
      <c r="I92" s="31"/>
      <c r="N92" s="216"/>
      <c r="O92" s="216"/>
    </row>
    <row r="93" spans="14:15" ht="15">
      <c r="N93" s="211"/>
      <c r="O93" s="21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6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27" sqref="K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4" t="s">
        <v>114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92"/>
      <c r="R1" s="93"/>
    </row>
    <row r="2" spans="2:18" s="1" customFormat="1" ht="15.75" customHeight="1">
      <c r="B2" s="185"/>
      <c r="C2" s="185"/>
      <c r="D2" s="18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86"/>
      <c r="B3" s="188" t="s">
        <v>136</v>
      </c>
      <c r="C3" s="189" t="s">
        <v>0</v>
      </c>
      <c r="D3" s="190" t="s">
        <v>115</v>
      </c>
      <c r="E3" s="34"/>
      <c r="F3" s="191" t="s">
        <v>26</v>
      </c>
      <c r="G3" s="192"/>
      <c r="H3" s="192"/>
      <c r="I3" s="192"/>
      <c r="J3" s="193"/>
      <c r="K3" s="89"/>
      <c r="L3" s="89"/>
      <c r="M3" s="194" t="s">
        <v>107</v>
      </c>
      <c r="N3" s="197" t="s">
        <v>66</v>
      </c>
      <c r="O3" s="197"/>
      <c r="P3" s="197"/>
      <c r="Q3" s="197"/>
      <c r="R3" s="197"/>
    </row>
    <row r="4" spans="1:18" ht="22.5" customHeight="1">
      <c r="A4" s="186"/>
      <c r="B4" s="188"/>
      <c r="C4" s="189"/>
      <c r="D4" s="190"/>
      <c r="E4" s="198" t="s">
        <v>104</v>
      </c>
      <c r="F4" s="224" t="s">
        <v>34</v>
      </c>
      <c r="G4" s="202" t="s">
        <v>109</v>
      </c>
      <c r="H4" s="195" t="s">
        <v>110</v>
      </c>
      <c r="I4" s="202" t="s">
        <v>105</v>
      </c>
      <c r="J4" s="195" t="s">
        <v>106</v>
      </c>
      <c r="K4" s="91" t="s">
        <v>65</v>
      </c>
      <c r="L4" s="96" t="s">
        <v>64</v>
      </c>
      <c r="M4" s="195"/>
      <c r="N4" s="222" t="s">
        <v>103</v>
      </c>
      <c r="O4" s="202" t="s">
        <v>50</v>
      </c>
      <c r="P4" s="206" t="s">
        <v>49</v>
      </c>
      <c r="Q4" s="97" t="s">
        <v>65</v>
      </c>
      <c r="R4" s="98" t="s">
        <v>64</v>
      </c>
    </row>
    <row r="5" spans="1:18" ht="76.5" customHeight="1">
      <c r="A5" s="187"/>
      <c r="B5" s="188"/>
      <c r="C5" s="189"/>
      <c r="D5" s="190"/>
      <c r="E5" s="199"/>
      <c r="F5" s="225"/>
      <c r="G5" s="203"/>
      <c r="H5" s="196"/>
      <c r="I5" s="203"/>
      <c r="J5" s="196"/>
      <c r="K5" s="207" t="s">
        <v>108</v>
      </c>
      <c r="L5" s="208"/>
      <c r="M5" s="196"/>
      <c r="N5" s="223"/>
      <c r="O5" s="203"/>
      <c r="P5" s="206"/>
      <c r="Q5" s="207" t="s">
        <v>126</v>
      </c>
      <c r="R5" s="20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9"/>
      <c r="H82" s="209"/>
      <c r="I82" s="209"/>
      <c r="J82" s="20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0"/>
      <c r="O83" s="210"/>
    </row>
    <row r="84" spans="3:15" ht="15">
      <c r="C84" s="87">
        <v>42397</v>
      </c>
      <c r="D84" s="31">
        <v>8685</v>
      </c>
      <c r="F84" s="166" t="s">
        <v>59</v>
      </c>
      <c r="G84" s="211"/>
      <c r="H84" s="211"/>
      <c r="I84" s="131"/>
      <c r="J84" s="212"/>
      <c r="K84" s="212"/>
      <c r="L84" s="212"/>
      <c r="M84" s="212"/>
      <c r="N84" s="210"/>
      <c r="O84" s="210"/>
    </row>
    <row r="85" spans="3:15" ht="15.75" customHeight="1">
      <c r="C85" s="87">
        <v>42396</v>
      </c>
      <c r="D85" s="31">
        <v>4820.3</v>
      </c>
      <c r="F85" s="167"/>
      <c r="G85" s="211"/>
      <c r="H85" s="211"/>
      <c r="I85" s="131"/>
      <c r="J85" s="213"/>
      <c r="K85" s="213"/>
      <c r="L85" s="213"/>
      <c r="M85" s="213"/>
      <c r="N85" s="210"/>
      <c r="O85" s="210"/>
    </row>
    <row r="86" spans="3:13" ht="15.75" customHeight="1">
      <c r="C86" s="87"/>
      <c r="F86" s="167"/>
      <c r="G86" s="217"/>
      <c r="H86" s="217"/>
      <c r="I86" s="139"/>
      <c r="J86" s="212"/>
      <c r="K86" s="212"/>
      <c r="L86" s="212"/>
      <c r="M86" s="212"/>
    </row>
    <row r="87" spans="2:13" ht="18.75" customHeight="1">
      <c r="B87" s="218" t="s">
        <v>57</v>
      </c>
      <c r="C87" s="219"/>
      <c r="D87" s="148">
        <v>300.92</v>
      </c>
      <c r="E87" s="74"/>
      <c r="F87" s="168"/>
      <c r="G87" s="211"/>
      <c r="H87" s="211"/>
      <c r="I87" s="141"/>
      <c r="J87" s="212"/>
      <c r="K87" s="212"/>
      <c r="L87" s="212"/>
      <c r="M87" s="212"/>
    </row>
    <row r="88" spans="6:12" ht="9.75" customHeight="1">
      <c r="F88" s="167"/>
      <c r="G88" s="211"/>
      <c r="H88" s="211"/>
      <c r="I88" s="73"/>
      <c r="J88" s="74"/>
      <c r="K88" s="74"/>
      <c r="L88" s="74"/>
    </row>
    <row r="89" spans="2:12" ht="22.5" customHeight="1" hidden="1">
      <c r="B89" s="214" t="s">
        <v>60</v>
      </c>
      <c r="C89" s="215"/>
      <c r="D89" s="86">
        <v>0</v>
      </c>
      <c r="E89" s="56" t="s">
        <v>24</v>
      </c>
      <c r="F89" s="167"/>
      <c r="G89" s="211"/>
      <c r="H89" s="211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1"/>
      <c r="O90" s="211"/>
    </row>
    <row r="91" spans="4:15" ht="15">
      <c r="D91" s="83"/>
      <c r="I91" s="31"/>
      <c r="N91" s="216"/>
      <c r="O91" s="216"/>
    </row>
    <row r="92" spans="14:15" ht="15">
      <c r="N92" s="211"/>
      <c r="O92" s="211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2016-02-17T09:40:28Z</cp:lastPrinted>
  <dcterms:created xsi:type="dcterms:W3CDTF">2003-07-28T11:27:56Z</dcterms:created>
  <dcterms:modified xsi:type="dcterms:W3CDTF">2016-02-18T14:20:35Z</dcterms:modified>
  <cp:category/>
  <cp:version/>
  <cp:contentType/>
  <cp:contentStatus/>
</cp:coreProperties>
</file>